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Conv Loan" sheetId="2" r:id="rId5"/>
    <sheet state="visible" name="Rent" sheetId="3" r:id="rId6"/>
    <sheet state="visible" name="General Expenses" sheetId="4" r:id="rId7"/>
  </sheets>
  <definedNames/>
  <calcPr/>
</workbook>
</file>

<file path=xl/sharedStrings.xml><?xml version="1.0" encoding="utf-8"?>
<sst xmlns="http://schemas.openxmlformats.org/spreadsheetml/2006/main" count="78" uniqueCount="75">
  <si>
    <t xml:space="preserve">נתוני עסקה </t>
  </si>
  <si>
    <t xml:space="preserve">תזרים העסקה </t>
  </si>
  <si>
    <t xml:space="preserve">מחיר רכישה </t>
  </si>
  <si>
    <t xml:space="preserve">שכירות </t>
  </si>
  <si>
    <t xml:space="preserve">שיפוץ הבית </t>
  </si>
  <si>
    <t xml:space="preserve">הוצאות על הנכס </t>
  </si>
  <si>
    <t xml:space="preserve">סה"כ הלוואה </t>
  </si>
  <si>
    <t xml:space="preserve">הוצאות הלוואה </t>
  </si>
  <si>
    <t>עלויות משכנתא</t>
  </si>
  <si>
    <t xml:space="preserve">תזרים מזומנים </t>
  </si>
  <si>
    <t>הון עצמי לרכישה</t>
  </si>
  <si>
    <t xml:space="preserve">סה"כ הון עצמי </t>
  </si>
  <si>
    <t xml:space="preserve">סיכום השקעה לאחר שנה </t>
  </si>
  <si>
    <t xml:space="preserve">כתובת </t>
  </si>
  <si>
    <t xml:space="preserve">7019 Winston Ave, Lubbock, TX 79424
</t>
  </si>
  <si>
    <t>סה"כ עלות לנו</t>
  </si>
  <si>
    <t>חדרים</t>
  </si>
  <si>
    <t xml:space="preserve">הוצאות אחזקה </t>
  </si>
  <si>
    <t xml:space="preserve">מחיר שוק </t>
  </si>
  <si>
    <t>שירותים</t>
  </si>
  <si>
    <t xml:space="preserve">כמות חודשים </t>
  </si>
  <si>
    <t xml:space="preserve">משכנתא קיימת </t>
  </si>
  <si>
    <t>גודל הבית</t>
  </si>
  <si>
    <t xml:space="preserve">עלויות הלוואה </t>
  </si>
  <si>
    <t xml:space="preserve">סה"כ הון בעסקה </t>
  </si>
  <si>
    <t xml:space="preserve">סה"כ מתחת למחיר שוק </t>
  </si>
  <si>
    <t>מיסים + ביטוחים</t>
  </si>
  <si>
    <t xml:space="preserve">עלויות מכירה </t>
  </si>
  <si>
    <t>סה"כ אחזקה</t>
  </si>
  <si>
    <t>ARV</t>
  </si>
  <si>
    <t xml:space="preserve">תזרים שנצבר </t>
  </si>
  <si>
    <t>הון שהושקע</t>
  </si>
  <si>
    <t>הוצאות משכנתא</t>
  </si>
  <si>
    <t xml:space="preserve">תשואות בעסקה </t>
  </si>
  <si>
    <t xml:space="preserve">רווח מהמכירה </t>
  </si>
  <si>
    <t>Cap Rate</t>
  </si>
  <si>
    <t>COC</t>
  </si>
  <si>
    <t xml:space="preserve">ROI </t>
  </si>
  <si>
    <t>Conv Loan</t>
  </si>
  <si>
    <t>מס' תשלום</t>
  </si>
  <si>
    <t>תשלום חודשי</t>
  </si>
  <si>
    <t>תשלום קרן</t>
  </si>
  <si>
    <t>תשלום ריבית</t>
  </si>
  <si>
    <t>נתוני מימון</t>
  </si>
  <si>
    <t>משכנתא</t>
  </si>
  <si>
    <t>אחוז מימון לבית</t>
  </si>
  <si>
    <t>כמות שנים</t>
  </si>
  <si>
    <t>ריבית</t>
  </si>
  <si>
    <t xml:space="preserve">עלויות משכנתא </t>
  </si>
  <si>
    <t xml:space="preserve">בדק בית </t>
  </si>
  <si>
    <t>שמאי</t>
  </si>
  <si>
    <t xml:space="preserve">נקודות הלוואה </t>
  </si>
  <si>
    <t xml:space="preserve">עלויות לנדר </t>
  </si>
  <si>
    <t>עורך דין</t>
  </si>
  <si>
    <t>עמלות נוספות</t>
  </si>
  <si>
    <t>סה"כ עלויות סגירה</t>
  </si>
  <si>
    <t>RENT</t>
  </si>
  <si>
    <t xml:space="preserve">תזרים עסקה </t>
  </si>
  <si>
    <t>חודשי</t>
  </si>
  <si>
    <t>שנתי</t>
  </si>
  <si>
    <t xml:space="preserve">שכירות חודשית </t>
  </si>
  <si>
    <t xml:space="preserve">הוצאות נוספות </t>
  </si>
  <si>
    <t>מס ארנונה</t>
  </si>
  <si>
    <t>ביטוח</t>
  </si>
  <si>
    <t xml:space="preserve">סה"כ הוצאות </t>
  </si>
  <si>
    <t>סה"כ נטו</t>
  </si>
  <si>
    <t>Expenses</t>
  </si>
  <si>
    <t xml:space="preserve">הוצאות כלליות </t>
  </si>
  <si>
    <t xml:space="preserve">פתיחת חברה </t>
  </si>
  <si>
    <t xml:space="preserve">פתיחת חשבון בנק </t>
  </si>
  <si>
    <t xml:space="preserve">המרת מט"ח </t>
  </si>
  <si>
    <t xml:space="preserve">העברת מט"ח </t>
  </si>
  <si>
    <t xml:space="preserve">ליווי העסקה </t>
  </si>
  <si>
    <t xml:space="preserve">סה"כ הון עצמי שצריך להביא </t>
  </si>
  <si>
    <t xml:space="preserve">בשקלים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</si>
</sst>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9">
    <font>
      <sz val="10.0"/>
      <color rgb="FF000000"/>
      <name val="Arial"/>
      <scheme val="minor"/>
    </font>
    <font>
      <sz val="12.0"/>
      <color rgb="FF2A2A33"/>
      <name val="Open Sans"/>
    </font>
    <font>
      <sz val="9.0"/>
      <color rgb="FF0B57D0"/>
      <name val="&quot;Segoe UI&quot;"/>
    </font>
    <font/>
    <font>
      <b/>
      <sz val="11.0"/>
      <color rgb="FFB09E80"/>
      <name val="Arial"/>
      <scheme val="minor"/>
    </font>
    <font>
      <b/>
      <sz val="12.0"/>
      <color rgb="FFB09E80"/>
      <name val="Arial"/>
      <scheme val="minor"/>
    </font>
    <font>
      <b/>
      <sz val="11.0"/>
      <color rgb="FF192537"/>
      <name val="Arial"/>
      <scheme val="minor"/>
    </font>
    <font>
      <b/>
      <sz val="11.0"/>
      <color theme="1"/>
      <name val="Arial"/>
      <scheme val="minor"/>
    </font>
    <font>
      <b/>
      <sz val="11.0"/>
      <color rgb="FF2A2A33"/>
      <name val="&quot;Open Sans&quot;"/>
    </font>
    <font>
      <b/>
      <sz val="20.0"/>
      <color theme="1"/>
      <name val="Arial"/>
      <scheme val="minor"/>
    </font>
    <font>
      <b/>
      <sz val="11.0"/>
      <color rgb="FF2A2A33"/>
      <name val="Arial"/>
      <scheme val="minor"/>
    </font>
    <font>
      <b/>
      <sz val="12.0"/>
      <color theme="1"/>
      <name val="Arial"/>
      <scheme val="minor"/>
    </font>
    <font>
      <color theme="1"/>
      <name val="Arial"/>
      <scheme val="minor"/>
    </font>
    <font>
      <b/>
      <sz val="35.0"/>
      <color rgb="FFB09E80"/>
      <name val="Arial"/>
      <scheme val="minor"/>
    </font>
    <font>
      <b/>
      <sz val="11.0"/>
      <color rgb="FFB09E8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0.0"/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E9E9E9"/>
        <bgColor rgb="FFE9E9E9"/>
      </patternFill>
    </fill>
    <fill>
      <patternFill patternType="solid">
        <fgColor rgb="FF192537"/>
        <bgColor rgb="FF192537"/>
      </patternFill>
    </fill>
  </fills>
  <borders count="16">
    <border/>
    <border>
      <left style="thin">
        <color rgb="FF000000"/>
      </left>
    </border>
    <border>
      <right style="thin">
        <color rgb="FF000000"/>
      </right>
    </border>
    <border>
      <left style="thin">
        <color rgb="FFB09E80"/>
      </left>
      <top style="thin">
        <color rgb="FFB09E80"/>
      </top>
      <bottom style="thin">
        <color rgb="FFB09E80"/>
      </bottom>
    </border>
    <border>
      <right style="thin">
        <color rgb="FFB09E80"/>
      </right>
      <top style="thin">
        <color rgb="FFB09E80"/>
      </top>
      <bottom style="thin">
        <color rgb="FFB09E8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1" fillId="3" fontId="2" numFmtId="0" xfId="0" applyAlignment="1" applyBorder="1" applyFill="1" applyFont="1">
      <alignment horizontal="left" readingOrder="0"/>
    </xf>
    <xf borderId="2" fillId="0" fontId="3" numFmtId="0" xfId="0" applyBorder="1" applyFont="1"/>
    <xf borderId="1" fillId="0" fontId="3" numFmtId="0" xfId="0" applyBorder="1" applyFont="1"/>
    <xf borderId="3" fillId="4" fontId="4" numFmtId="0" xfId="0" applyAlignment="1" applyBorder="1" applyFill="1" applyFont="1">
      <alignment horizontal="center" readingOrder="0"/>
    </xf>
    <xf borderId="4" fillId="0" fontId="3" numFmtId="0" xfId="0" applyBorder="1" applyFont="1"/>
    <xf borderId="0" fillId="4" fontId="5" numFmtId="0" xfId="0" applyAlignment="1" applyFont="1">
      <alignment horizontal="center" readingOrder="0"/>
    </xf>
    <xf borderId="1" fillId="0" fontId="6" numFmtId="0" xfId="0" applyAlignment="1" applyBorder="1" applyFont="1">
      <alignment readingOrder="0"/>
    </xf>
    <xf borderId="5" fillId="3" fontId="7" numFmtId="164" xfId="0" applyAlignment="1" applyBorder="1" applyFont="1" applyNumberFormat="1">
      <alignment readingOrder="0"/>
    </xf>
    <xf borderId="6" fillId="0" fontId="7" numFmtId="0" xfId="0" applyAlignment="1" applyBorder="1" applyFont="1">
      <alignment readingOrder="0"/>
    </xf>
    <xf borderId="7" fillId="3" fontId="7" numFmtId="164" xfId="0" applyAlignment="1" applyBorder="1" applyFont="1" applyNumberFormat="1">
      <alignment readingOrder="0"/>
    </xf>
    <xf borderId="8" fillId="3" fontId="7" numFmtId="164" xfId="0" applyAlignment="1" applyBorder="1" applyFont="1" applyNumberFormat="1">
      <alignment readingOrder="0"/>
    </xf>
    <xf borderId="1" fillId="0" fontId="7" numFmtId="0" xfId="0" applyAlignment="1" applyBorder="1" applyFont="1">
      <alignment readingOrder="0"/>
    </xf>
    <xf borderId="2" fillId="0" fontId="7" numFmtId="164" xfId="0" applyBorder="1" applyFont="1" applyNumberFormat="1"/>
    <xf borderId="9" fillId="0" fontId="7" numFmtId="0" xfId="0" applyAlignment="1" applyBorder="1" applyFont="1">
      <alignment readingOrder="0"/>
    </xf>
    <xf borderId="10" fillId="0" fontId="7" numFmtId="164" xfId="0" applyBorder="1" applyFont="1" applyNumberFormat="1"/>
    <xf borderId="9" fillId="0" fontId="3" numFmtId="0" xfId="0" applyBorder="1" applyFont="1"/>
    <xf borderId="11" fillId="0" fontId="3" numFmtId="0" xfId="0" applyBorder="1" applyFont="1"/>
    <xf borderId="10" fillId="0" fontId="3" numFmtId="0" xfId="0" applyBorder="1" applyFont="1"/>
    <xf borderId="9" fillId="0" fontId="6" numFmtId="0" xfId="0" applyAlignment="1" applyBorder="1" applyFont="1">
      <alignment readingOrder="0"/>
    </xf>
    <xf borderId="6" fillId="4" fontId="5" numFmtId="0" xfId="0" applyAlignment="1" applyBorder="1" applyFont="1">
      <alignment horizontal="center" readingOrder="0"/>
    </xf>
    <xf borderId="7" fillId="0" fontId="3" numFmtId="0" xfId="0" applyBorder="1" applyFont="1"/>
    <xf borderId="1" fillId="3" fontId="7" numFmtId="0" xfId="0" applyAlignment="1" applyBorder="1" applyFont="1">
      <alignment readingOrder="0"/>
    </xf>
    <xf borderId="12" fillId="3" fontId="8" numFmtId="0" xfId="0" applyAlignment="1" applyBorder="1" applyFont="1">
      <alignment readingOrder="0"/>
    </xf>
    <xf borderId="7" fillId="0" fontId="7" numFmtId="164" xfId="0" applyBorder="1" applyFont="1" applyNumberFormat="1"/>
    <xf borderId="0" fillId="3" fontId="8" numFmtId="0" xfId="0" applyAlignment="1" applyFont="1">
      <alignment readingOrder="0"/>
    </xf>
    <xf borderId="13" fillId="4" fontId="5" numFmtId="0" xfId="0" applyAlignment="1" applyBorder="1" applyFont="1">
      <alignment horizontal="center" readingOrder="0"/>
    </xf>
    <xf borderId="14" fillId="0" fontId="3" numFmtId="0" xfId="0" applyBorder="1" applyFont="1"/>
    <xf borderId="0" fillId="3" fontId="7" numFmtId="0" xfId="0" applyAlignment="1" applyFont="1">
      <alignment readingOrder="0"/>
    </xf>
    <xf borderId="8" fillId="3" fontId="7" numFmtId="0" xfId="0" applyAlignment="1" applyBorder="1" applyFont="1">
      <alignment readingOrder="0"/>
    </xf>
    <xf borderId="9" fillId="3" fontId="7" numFmtId="0" xfId="0" applyAlignment="1" applyBorder="1" applyFont="1">
      <alignment readingOrder="0" shrinkToFit="0" wrapText="0"/>
    </xf>
    <xf borderId="11" fillId="3" fontId="7" numFmtId="10" xfId="0" applyBorder="1" applyFont="1" applyNumberFormat="1"/>
    <xf borderId="13" fillId="4" fontId="5" numFmtId="164" xfId="0" applyAlignment="1" applyBorder="1" applyFont="1" applyNumberFormat="1">
      <alignment horizontal="center" readingOrder="0"/>
    </xf>
    <xf borderId="15" fillId="4" fontId="5" numFmtId="0" xfId="0" applyAlignment="1" applyBorder="1" applyFont="1">
      <alignment horizontal="center" readingOrder="0"/>
    </xf>
    <xf borderId="0" fillId="2" fontId="5" numFmtId="0" xfId="0" applyAlignment="1" applyFont="1">
      <alignment horizontal="center" readingOrder="0"/>
    </xf>
    <xf borderId="6" fillId="4" fontId="4" numFmtId="0" xfId="0" applyAlignment="1" applyBorder="1" applyFont="1">
      <alignment readingOrder="0"/>
    </xf>
    <xf borderId="7" fillId="4" fontId="4" numFmtId="164" xfId="0" applyBorder="1" applyFont="1" applyNumberFormat="1"/>
    <xf borderId="0" fillId="0" fontId="9" numFmtId="164" xfId="0" applyAlignment="1" applyFont="1" applyNumberFormat="1">
      <alignment horizontal="center" readingOrder="0"/>
    </xf>
    <xf borderId="13" fillId="0" fontId="7" numFmtId="0" xfId="0" applyAlignment="1" applyBorder="1" applyFont="1">
      <alignment readingOrder="0"/>
    </xf>
    <xf borderId="8" fillId="2" fontId="7" numFmtId="165" xfId="0" applyAlignment="1" applyBorder="1" applyFont="1" applyNumberFormat="1">
      <alignment readingOrder="0"/>
    </xf>
    <xf borderId="6" fillId="0" fontId="7" numFmtId="0" xfId="0" applyAlignment="1" applyBorder="1" applyFont="1">
      <alignment horizontal="center" readingOrder="0"/>
    </xf>
    <xf borderId="7" fillId="3" fontId="7" numFmtId="10" xfId="0" applyAlignment="1" applyBorder="1" applyFont="1" applyNumberFormat="1">
      <alignment readingOrder="0"/>
    </xf>
    <xf borderId="0" fillId="0" fontId="7" numFmtId="0" xfId="0" applyAlignment="1" applyFont="1">
      <alignment readingOrder="0"/>
    </xf>
    <xf borderId="0" fillId="0" fontId="7" numFmtId="164" xfId="0" applyFont="1" applyNumberFormat="1"/>
    <xf borderId="1" fillId="0" fontId="7" numFmtId="0" xfId="0" applyAlignment="1" applyBorder="1" applyFont="1">
      <alignment horizontal="center" readingOrder="0"/>
    </xf>
    <xf borderId="2" fillId="0" fontId="7" numFmtId="10" xfId="0" applyBorder="1" applyFont="1" applyNumberFormat="1"/>
    <xf borderId="0" fillId="0" fontId="7" numFmtId="0" xfId="0" applyFont="1"/>
    <xf borderId="0" fillId="0" fontId="7" numFmtId="10" xfId="0" applyFont="1" applyNumberFormat="1"/>
    <xf borderId="9" fillId="0" fontId="7" numFmtId="0" xfId="0" applyAlignment="1" applyBorder="1" applyFont="1">
      <alignment horizontal="center" readingOrder="0"/>
    </xf>
    <xf borderId="10" fillId="0" fontId="7" numFmtId="10" xfId="0" applyBorder="1" applyFont="1" applyNumberFormat="1"/>
    <xf borderId="0" fillId="2" fontId="10" numFmtId="0" xfId="0" applyFont="1"/>
    <xf borderId="0" fillId="2" fontId="7" numFmtId="0" xfId="0" applyFont="1"/>
    <xf borderId="0" fillId="2" fontId="7" numFmtId="164" xfId="0" applyFont="1" applyNumberFormat="1"/>
    <xf borderId="0" fillId="2" fontId="7" numFmtId="0" xfId="0" applyAlignment="1" applyFont="1">
      <alignment readingOrder="0"/>
    </xf>
    <xf borderId="0" fillId="0" fontId="7" numFmtId="9" xfId="0" applyFont="1" applyNumberFormat="1"/>
    <xf borderId="0" fillId="0" fontId="11" numFmtId="0" xfId="0" applyAlignment="1" applyFont="1">
      <alignment readingOrder="0"/>
    </xf>
    <xf borderId="0" fillId="0" fontId="11" numFmtId="9" xfId="0" applyFont="1" applyNumberFormat="1"/>
    <xf borderId="0" fillId="0" fontId="12" numFmtId="164" xfId="0" applyFont="1" applyNumberFormat="1"/>
    <xf borderId="0" fillId="4" fontId="13" numFmtId="0" xfId="0" applyAlignment="1" applyFont="1">
      <alignment horizontal="center" readingOrder="0"/>
    </xf>
    <xf borderId="8" fillId="4" fontId="14" numFmtId="0" xfId="0" applyAlignment="1" applyBorder="1" applyFont="1">
      <alignment horizontal="right"/>
    </xf>
    <xf borderId="8" fillId="2" fontId="15" numFmtId="0" xfId="0" applyAlignment="1" applyBorder="1" applyFont="1">
      <alignment horizontal="right" readingOrder="0"/>
    </xf>
    <xf borderId="8" fillId="2" fontId="15" numFmtId="164" xfId="0" applyAlignment="1" applyBorder="1" applyFont="1" applyNumberFormat="1">
      <alignment horizontal="right"/>
    </xf>
    <xf borderId="8" fillId="2" fontId="16" numFmtId="164" xfId="0" applyAlignment="1" applyBorder="1" applyFont="1" applyNumberFormat="1">
      <alignment horizontal="right"/>
    </xf>
    <xf borderId="8" fillId="0" fontId="12" numFmtId="0" xfId="0" applyAlignment="1" applyBorder="1" applyFont="1">
      <alignment readingOrder="0"/>
    </xf>
    <xf borderId="6" fillId="0" fontId="17" numFmtId="0" xfId="0" applyAlignment="1" applyBorder="1" applyFont="1">
      <alignment horizontal="right" readingOrder="0"/>
    </xf>
    <xf borderId="12" fillId="0" fontId="17" numFmtId="164" xfId="0" applyAlignment="1" applyBorder="1" applyFont="1" applyNumberFormat="1">
      <alignment horizontal="center"/>
    </xf>
    <xf borderId="0" fillId="0" fontId="12" numFmtId="0" xfId="0" applyAlignment="1" applyFont="1">
      <alignment readingOrder="0"/>
    </xf>
    <xf borderId="1" fillId="0" fontId="17" numFmtId="0" xfId="0" applyAlignment="1" applyBorder="1" applyFont="1">
      <alignment horizontal="right" readingOrder="0"/>
    </xf>
    <xf borderId="0" fillId="0" fontId="17" numFmtId="9" xfId="0" applyAlignment="1" applyFont="1" applyNumberFormat="1">
      <alignment horizontal="center" readingOrder="0"/>
    </xf>
    <xf borderId="1" fillId="0" fontId="17" numFmtId="0" xfId="0" applyAlignment="1" applyBorder="1" applyFont="1">
      <alignment horizontal="right" readingOrder="0" shrinkToFit="0" wrapText="1"/>
    </xf>
    <xf borderId="0" fillId="0" fontId="17" numFmtId="0" xfId="0" applyAlignment="1" applyFont="1">
      <alignment horizontal="center" readingOrder="0"/>
    </xf>
    <xf borderId="0" fillId="0" fontId="17" numFmtId="10" xfId="0" applyAlignment="1" applyFont="1" applyNumberFormat="1">
      <alignment horizontal="center" readingOrder="0"/>
    </xf>
    <xf borderId="9" fillId="0" fontId="17" numFmtId="0" xfId="0" applyAlignment="1" applyBorder="1" applyFont="1">
      <alignment horizontal="right" readingOrder="0"/>
    </xf>
    <xf borderId="11" fillId="0" fontId="17" numFmtId="164" xfId="0" applyAlignment="1" applyBorder="1" applyFont="1" applyNumberFormat="1">
      <alignment horizontal="center"/>
    </xf>
    <xf borderId="6" fillId="0" fontId="17" numFmtId="0" xfId="0" applyAlignment="1" applyBorder="1" applyFont="1">
      <alignment readingOrder="0"/>
    </xf>
    <xf borderId="12" fillId="0" fontId="17" numFmtId="165" xfId="0" applyAlignment="1" applyBorder="1" applyFont="1" applyNumberFormat="1">
      <alignment readingOrder="0"/>
    </xf>
    <xf borderId="7" fillId="0" fontId="17" numFmtId="165" xfId="0" applyBorder="1" applyFont="1" applyNumberFormat="1"/>
    <xf borderId="1" fillId="0" fontId="17" numFmtId="0" xfId="0" applyAlignment="1" applyBorder="1" applyFont="1">
      <alignment readingOrder="0"/>
    </xf>
    <xf borderId="0" fillId="0" fontId="17" numFmtId="165" xfId="0" applyAlignment="1" applyFont="1" applyNumberFormat="1">
      <alignment readingOrder="0"/>
    </xf>
    <xf borderId="2" fillId="0" fontId="17" numFmtId="165" xfId="0" applyBorder="1" applyFont="1" applyNumberFormat="1"/>
    <xf borderId="0" fillId="0" fontId="17" numFmtId="10" xfId="0" applyAlignment="1" applyFont="1" applyNumberFormat="1">
      <alignment readingOrder="0"/>
    </xf>
    <xf borderId="2" fillId="0" fontId="17" numFmtId="164" xfId="0" applyBorder="1" applyFont="1" applyNumberFormat="1"/>
    <xf borderId="1" fillId="0" fontId="12" numFmtId="0" xfId="0" applyBorder="1" applyFont="1"/>
    <xf borderId="2" fillId="0" fontId="12" numFmtId="0" xfId="0" applyBorder="1" applyFont="1"/>
    <xf borderId="9" fillId="0" fontId="17" numFmtId="0" xfId="0" applyAlignment="1" applyBorder="1" applyFont="1">
      <alignment readingOrder="0"/>
    </xf>
    <xf borderId="11" fillId="0" fontId="17" numFmtId="165" xfId="0" applyAlignment="1" applyBorder="1" applyFont="1" applyNumberFormat="1">
      <alignment horizontal="center"/>
    </xf>
    <xf borderId="0" fillId="0" fontId="12" numFmtId="0" xfId="0" applyAlignment="1" applyFont="1">
      <alignment readingOrder="0"/>
    </xf>
    <xf borderId="0" fillId="0" fontId="12" numFmtId="0" xfId="0" applyFont="1"/>
    <xf borderId="6" fillId="0" fontId="12" numFmtId="0" xfId="0" applyBorder="1" applyFont="1"/>
    <xf borderId="12" fillId="0" fontId="7" numFmtId="0" xfId="0" applyAlignment="1" applyBorder="1" applyFont="1">
      <alignment readingOrder="0"/>
    </xf>
    <xf borderId="7" fillId="0" fontId="7" numFmtId="0" xfId="0" applyAlignment="1" applyBorder="1" applyFont="1">
      <alignment readingOrder="0"/>
    </xf>
    <xf borderId="0" fillId="3" fontId="17" numFmtId="164" xfId="0" applyAlignment="1" applyFont="1" applyNumberFormat="1">
      <alignment readingOrder="0"/>
    </xf>
    <xf borderId="0" fillId="0" fontId="17" numFmtId="164" xfId="0" applyFont="1" applyNumberFormat="1"/>
    <xf borderId="0" fillId="0" fontId="17" numFmtId="164" xfId="0" applyAlignment="1" applyFont="1" applyNumberFormat="1">
      <alignment readingOrder="0"/>
    </xf>
    <xf borderId="2" fillId="3" fontId="17" numFmtId="164" xfId="0" applyAlignment="1" applyBorder="1" applyFont="1" applyNumberFormat="1">
      <alignment readingOrder="0"/>
    </xf>
    <xf borderId="1" fillId="0" fontId="17" numFmtId="0" xfId="0" applyBorder="1" applyFont="1"/>
    <xf borderId="0" fillId="0" fontId="17" numFmtId="0" xfId="0" applyFont="1"/>
    <xf borderId="2" fillId="0" fontId="17" numFmtId="0" xfId="0" applyBorder="1" applyFont="1"/>
    <xf borderId="9" fillId="0" fontId="18" numFmtId="0" xfId="0" applyAlignment="1" applyBorder="1" applyFont="1">
      <alignment readingOrder="0"/>
    </xf>
    <xf borderId="11" fillId="0" fontId="18" numFmtId="164" xfId="0" applyBorder="1" applyFont="1" applyNumberFormat="1"/>
    <xf borderId="10" fillId="0" fontId="18" numFmtId="164" xfId="0" applyBorder="1" applyFont="1" applyNumberFormat="1"/>
    <xf borderId="12" fillId="0" fontId="3" numFmtId="0" xfId="0" applyBorder="1" applyFont="1"/>
    <xf borderId="12" fillId="0" fontId="7" numFmtId="164" xfId="0" applyAlignment="1" applyBorder="1" applyFont="1" applyNumberFormat="1">
      <alignment readingOrder="0"/>
    </xf>
    <xf borderId="0" fillId="0" fontId="7" numFmtId="164" xfId="0" applyAlignment="1" applyFont="1" applyNumberFormat="1">
      <alignment readingOrder="0"/>
    </xf>
    <xf borderId="2" fillId="0" fontId="7" numFmtId="0" xfId="0" applyAlignment="1" applyBorder="1" applyFont="1">
      <alignment readingOrder="0"/>
    </xf>
    <xf borderId="0" fillId="0" fontId="7" numFmtId="9" xfId="0" applyAlignment="1" applyFont="1" applyNumberFormat="1">
      <alignment readingOrder="0"/>
    </xf>
    <xf borderId="2" fillId="0" fontId="7" numFmtId="164" xfId="0" applyAlignment="1" applyBorder="1" applyFont="1" applyNumberFormat="1">
      <alignment readingOrder="0"/>
    </xf>
    <xf borderId="0" fillId="0" fontId="7" numFmtId="164" xfId="0" applyAlignment="1" applyFont="1" applyNumberFormat="1">
      <alignment readingOrder="0"/>
    </xf>
    <xf borderId="11" fillId="0" fontId="7" numFmtId="0" xfId="0" applyAlignment="1" applyBorder="1" applyFont="1">
      <alignment readingOrder="0"/>
    </xf>
    <xf borderId="10" fillId="0" fontId="7" numFmtId="3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Main!$C$6:$C$11</c:f>
            </c:strRef>
          </c:cat>
          <c:val>
            <c:numRef>
              <c:f>Main!$D$6:$D$11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Pt>
            <c:idx val="4"/>
            <c:spPr>
              <a:solidFill>
                <a:srgbClr val="FF6D01"/>
              </a:solidFill>
            </c:spPr>
          </c:dPt>
          <c:dPt>
            <c:idx val="5"/>
            <c:spPr>
              <a:solidFill>
                <a:srgbClr val="46BDC6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'Conv Loan'!$C$15:$C$20</c:f>
            </c:strRef>
          </c:cat>
          <c:val>
            <c:numRef>
              <c:f>'Conv Loan'!$E$15:$E$20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285F4"/>
              </a:solidFill>
            </c:spPr>
          </c:dPt>
          <c:dPt>
            <c:idx val="1"/>
            <c:spPr>
              <a:solidFill>
                <a:srgbClr val="EA4335"/>
              </a:solidFill>
            </c:spPr>
          </c:dPt>
          <c:dPt>
            <c:idx val="2"/>
            <c:spPr>
              <a:solidFill>
                <a:srgbClr val="FBBC04"/>
              </a:solidFill>
            </c:spPr>
          </c:dPt>
          <c:dPt>
            <c:idx val="3"/>
            <c:spPr>
              <a:solidFill>
                <a:srgbClr val="34A853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Rent!$C$8:$C$11</c:f>
            </c:strRef>
          </c:cat>
          <c:val>
            <c:numRef>
              <c:f>Rent!$E$8:$E$11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857250</xdr:colOff>
      <xdr:row>3</xdr:row>
      <xdr:rowOff>190500</xdr:rowOff>
    </xdr:from>
    <xdr:ext cx="4057650" cy="24384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914400</xdr:colOff>
      <xdr:row>0</xdr:row>
      <xdr:rowOff>190500</xdr:rowOff>
    </xdr:from>
    <xdr:ext cx="4800600" cy="28384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952500</xdr:colOff>
      <xdr:row>0</xdr:row>
      <xdr:rowOff>190500</xdr:rowOff>
    </xdr:from>
    <xdr:ext cx="4752975" cy="26193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3" max="3" width="15.25"/>
    <col customWidth="1" min="7" max="7" width="13.63"/>
    <col customWidth="1" min="11" max="11" width="14.25"/>
    <col customWidth="1" min="12" max="12" width="14.0"/>
    <col customWidth="1" min="13" max="13" width="11.88"/>
    <col customWidth="1" min="14" max="14" width="19.13"/>
    <col customWidth="1" min="15" max="15" width="24.38"/>
  </cols>
  <sheetData>
    <row r="1">
      <c r="A1" s="1"/>
      <c r="N1" s="2" t="str">
        <f>IMAGE("https://maps.googleapis.com/maps/api/streetview?size=600x300&amp;location=" &amp; ENCODEURL(O11) &amp; "&amp;key=AIzaSyA02fe7_qv_jpfCiRxUK7vQnns1y4amEO4")</f>
        <v/>
      </c>
      <c r="P1" s="3"/>
    </row>
    <row r="2">
      <c r="N2" s="4"/>
      <c r="P2" s="3"/>
    </row>
    <row r="3">
      <c r="N3" s="4"/>
      <c r="P3" s="3"/>
    </row>
    <row r="4">
      <c r="N4" s="4"/>
      <c r="P4" s="3"/>
    </row>
    <row r="5">
      <c r="C5" s="5" t="s">
        <v>0</v>
      </c>
      <c r="D5" s="6"/>
      <c r="K5" s="7" t="s">
        <v>1</v>
      </c>
      <c r="N5" s="4"/>
      <c r="P5" s="3"/>
    </row>
    <row r="6">
      <c r="C6" s="8" t="s">
        <v>2</v>
      </c>
      <c r="D6" s="9">
        <v>1200000.0</v>
      </c>
      <c r="K6" s="10" t="s">
        <v>3</v>
      </c>
      <c r="L6" s="11">
        <f>Rent!D8</f>
        <v>1700</v>
      </c>
      <c r="N6" s="4"/>
      <c r="P6" s="3"/>
    </row>
    <row r="7">
      <c r="C7" s="8" t="s">
        <v>4</v>
      </c>
      <c r="D7" s="12">
        <v>0.0</v>
      </c>
      <c r="K7" s="13" t="s">
        <v>5</v>
      </c>
      <c r="L7" s="14">
        <f>Rent!D13</f>
        <v>532.5</v>
      </c>
      <c r="N7" s="4"/>
      <c r="P7" s="3"/>
    </row>
    <row r="8">
      <c r="C8" s="8" t="s">
        <v>6</v>
      </c>
      <c r="D8" s="14">
        <f>D6*'Conv Loan'!D8</f>
        <v>420000</v>
      </c>
      <c r="K8" s="13" t="s">
        <v>7</v>
      </c>
      <c r="L8" s="14">
        <f>'Conv Loan'!P3</f>
        <v>1750</v>
      </c>
      <c r="N8" s="4"/>
      <c r="P8" s="3"/>
    </row>
    <row r="9">
      <c r="C9" s="8" t="s">
        <v>8</v>
      </c>
      <c r="D9" s="14">
        <f>'Conv Loan'!D22</f>
        <v>23360</v>
      </c>
      <c r="K9" s="15" t="s">
        <v>9</v>
      </c>
      <c r="L9" s="16">
        <f>L6-L7-L8</f>
        <v>-582.5</v>
      </c>
      <c r="N9" s="4"/>
      <c r="P9" s="3"/>
    </row>
    <row r="10">
      <c r="C10" s="8" t="s">
        <v>10</v>
      </c>
      <c r="D10" s="14">
        <f>D6-D8</f>
        <v>780000</v>
      </c>
      <c r="N10" s="17"/>
      <c r="O10" s="18"/>
      <c r="P10" s="19"/>
    </row>
    <row r="11">
      <c r="C11" s="20" t="s">
        <v>11</v>
      </c>
      <c r="D11" s="16">
        <f>D10+D9+D7</f>
        <v>803360</v>
      </c>
      <c r="K11" s="21" t="s">
        <v>12</v>
      </c>
      <c r="L11" s="22"/>
      <c r="N11" s="23" t="s">
        <v>13</v>
      </c>
      <c r="O11" s="24" t="s">
        <v>14</v>
      </c>
      <c r="P11" s="22"/>
    </row>
    <row r="12">
      <c r="K12" s="10" t="s">
        <v>15</v>
      </c>
      <c r="L12" s="25">
        <f>D7+D9+D6+D17</f>
        <v>1234772.5</v>
      </c>
      <c r="N12" s="23" t="s">
        <v>16</v>
      </c>
      <c r="O12" s="26">
        <v>3.0</v>
      </c>
      <c r="P12" s="3"/>
    </row>
    <row r="13">
      <c r="C13" s="27" t="s">
        <v>17</v>
      </c>
      <c r="D13" s="28"/>
      <c r="K13" s="10" t="s">
        <v>18</v>
      </c>
      <c r="L13" s="25">
        <f>G17</f>
        <v>250000</v>
      </c>
      <c r="N13" s="23" t="s">
        <v>19</v>
      </c>
      <c r="O13" s="29">
        <v>2.0</v>
      </c>
      <c r="P13" s="3"/>
    </row>
    <row r="14">
      <c r="C14" s="10" t="s">
        <v>20</v>
      </c>
      <c r="D14" s="30">
        <v>5.0</v>
      </c>
      <c r="K14" s="10" t="s">
        <v>21</v>
      </c>
      <c r="L14" s="25">
        <f>D8-(D8*0.02)</f>
        <v>411600</v>
      </c>
      <c r="N14" s="23" t="s">
        <v>22</v>
      </c>
      <c r="O14" s="29">
        <v>1426.0</v>
      </c>
      <c r="P14" s="3"/>
    </row>
    <row r="15">
      <c r="C15" s="13" t="s">
        <v>23</v>
      </c>
      <c r="D15" s="14">
        <f>'Conv Loan'!D11*D14</f>
        <v>8750</v>
      </c>
      <c r="K15" s="10" t="s">
        <v>24</v>
      </c>
      <c r="L15" s="25">
        <f>L13-L14</f>
        <v>-161600</v>
      </c>
      <c r="N15" s="31" t="s">
        <v>25</v>
      </c>
      <c r="O15" s="32">
        <f>1-L12/G17</f>
        <v>-3.93909</v>
      </c>
      <c r="P15" s="19"/>
    </row>
    <row r="16">
      <c r="C16" s="13" t="s">
        <v>26</v>
      </c>
      <c r="D16" s="14">
        <f>Rent!D13*D14</f>
        <v>2662.5</v>
      </c>
      <c r="K16" s="10" t="s">
        <v>27</v>
      </c>
      <c r="L16" s="25">
        <f>L13*0.07</f>
        <v>17500</v>
      </c>
    </row>
    <row r="17">
      <c r="C17" s="15" t="s">
        <v>28</v>
      </c>
      <c r="D17" s="16">
        <f>D15+D16</f>
        <v>11412.5</v>
      </c>
      <c r="G17" s="33">
        <v>250000.0</v>
      </c>
      <c r="H17" s="34" t="s">
        <v>29</v>
      </c>
      <c r="I17" s="35"/>
      <c r="K17" s="10" t="s">
        <v>30</v>
      </c>
      <c r="L17" s="25">
        <f>L9*12</f>
        <v>-6990</v>
      </c>
    </row>
    <row r="18">
      <c r="K18" s="10" t="s">
        <v>31</v>
      </c>
      <c r="L18" s="25">
        <f>D11</f>
        <v>803360</v>
      </c>
    </row>
    <row r="19" ht="18.0" customHeight="1">
      <c r="C19" s="27" t="s">
        <v>32</v>
      </c>
      <c r="D19" s="28"/>
      <c r="G19" s="7" t="s">
        <v>33</v>
      </c>
      <c r="K19" s="36" t="s">
        <v>34</v>
      </c>
      <c r="L19" s="37">
        <f>L15-L16+L17-L18</f>
        <v>-989450</v>
      </c>
      <c r="M19" s="38"/>
    </row>
    <row r="20">
      <c r="C20" s="39" t="s">
        <v>32</v>
      </c>
      <c r="D20" s="40">
        <f>'Conv Loan'!D22</f>
        <v>23360</v>
      </c>
      <c r="G20" s="41" t="s">
        <v>35</v>
      </c>
      <c r="H20" s="42">
        <f>(L6*12)/L12</f>
        <v>0.01652126201</v>
      </c>
    </row>
    <row r="21">
      <c r="C21" s="43"/>
      <c r="D21" s="44"/>
      <c r="G21" s="45" t="s">
        <v>36</v>
      </c>
      <c r="H21" s="46">
        <f>L17/D11</f>
        <v>-0.008700955985</v>
      </c>
      <c r="K21" s="47"/>
      <c r="L21" s="48"/>
    </row>
    <row r="22">
      <c r="C22" s="43"/>
      <c r="D22" s="47"/>
      <c r="G22" s="49" t="s">
        <v>37</v>
      </c>
      <c r="H22" s="50">
        <f>L19/L18</f>
        <v>-1.231639614</v>
      </c>
      <c r="K22" s="43"/>
      <c r="L22" s="47"/>
    </row>
    <row r="23">
      <c r="C23" s="43"/>
      <c r="D23" s="47"/>
      <c r="G23" s="43"/>
      <c r="H23" s="44"/>
      <c r="K23" s="43"/>
      <c r="L23" s="51"/>
    </row>
    <row r="24">
      <c r="C24" s="52"/>
      <c r="D24" s="53"/>
      <c r="K24" s="43"/>
      <c r="L24" s="48"/>
    </row>
    <row r="25">
      <c r="C25" s="54"/>
      <c r="D25" s="53"/>
      <c r="K25" s="43"/>
      <c r="L25" s="47"/>
    </row>
    <row r="26">
      <c r="C26" s="52"/>
      <c r="D26" s="53"/>
      <c r="K26" s="43"/>
      <c r="L26" s="55"/>
    </row>
    <row r="27">
      <c r="C27" s="54"/>
      <c r="D27" s="53"/>
      <c r="L27" s="47"/>
      <c r="M27" s="44"/>
    </row>
    <row r="28">
      <c r="C28" s="54"/>
      <c r="D28" s="53"/>
    </row>
    <row r="29">
      <c r="C29" s="52"/>
      <c r="D29" s="53"/>
    </row>
    <row r="30">
      <c r="C30" s="54"/>
      <c r="D30" s="53"/>
    </row>
    <row r="33">
      <c r="L33" s="47"/>
      <c r="M33" s="47"/>
    </row>
    <row r="38">
      <c r="J38" s="56"/>
      <c r="L38" s="57"/>
    </row>
    <row r="42">
      <c r="D42" s="58"/>
    </row>
  </sheetData>
  <mergeCells count="13">
    <mergeCell ref="O13:P13"/>
    <mergeCell ref="O14:P14"/>
    <mergeCell ref="O15:P15"/>
    <mergeCell ref="C19:D19"/>
    <mergeCell ref="G19:H19"/>
    <mergeCell ref="J38:K38"/>
    <mergeCell ref="N1:P10"/>
    <mergeCell ref="C5:D5"/>
    <mergeCell ref="K5:L5"/>
    <mergeCell ref="K11:L11"/>
    <mergeCell ref="O11:P11"/>
    <mergeCell ref="O12:P12"/>
    <mergeCell ref="C13:D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3" max="3" width="14.38"/>
  </cols>
  <sheetData>
    <row r="2">
      <c r="C2" s="59" t="s">
        <v>38</v>
      </c>
      <c r="M2" s="60" t="s">
        <v>39</v>
      </c>
      <c r="N2" s="60" t="s">
        <v>40</v>
      </c>
      <c r="O2" s="60" t="s">
        <v>41</v>
      </c>
      <c r="P2" s="60" t="s">
        <v>42</v>
      </c>
    </row>
    <row r="3">
      <c r="M3" s="61">
        <v>1.0</v>
      </c>
      <c r="N3" s="62">
        <f t="shared" ref="N3:N20" si="1">IF(M3&lt;&gt;"",O3+P3,"")</f>
        <v>4454.75164</v>
      </c>
      <c r="O3" s="63">
        <f t="shared" ref="O3:O20" si="2">IF(M3&lt;&gt;"",PPMT($D$10/12,M3,$D$9*12,-$D$7,0,0),"")</f>
        <v>2704.75164</v>
      </c>
      <c r="P3" s="62">
        <f t="shared" ref="P3:P20" si="3">IF(M3&lt;&gt;"",IPMT($D$10/12,M3,$D$9*12,-$D$7,0,0),"")</f>
        <v>1750</v>
      </c>
    </row>
    <row r="4">
      <c r="M4" s="64">
        <v>2.0</v>
      </c>
      <c r="N4" s="62">
        <f t="shared" si="1"/>
        <v>4454.75164</v>
      </c>
      <c r="O4" s="63">
        <f t="shared" si="2"/>
        <v>2716.021439</v>
      </c>
      <c r="P4" s="62">
        <f t="shared" si="3"/>
        <v>1738.730201</v>
      </c>
    </row>
    <row r="5">
      <c r="M5" s="64">
        <v>3.0</v>
      </c>
      <c r="N5" s="62">
        <f t="shared" si="1"/>
        <v>4454.75164</v>
      </c>
      <c r="O5" s="63">
        <f t="shared" si="2"/>
        <v>2727.338195</v>
      </c>
      <c r="P5" s="62">
        <f t="shared" si="3"/>
        <v>1727.413446</v>
      </c>
    </row>
    <row r="6">
      <c r="C6" s="7" t="s">
        <v>43</v>
      </c>
      <c r="M6" s="61">
        <v>4.0</v>
      </c>
      <c r="N6" s="62">
        <f t="shared" si="1"/>
        <v>4454.75164</v>
      </c>
      <c r="O6" s="63">
        <f t="shared" si="2"/>
        <v>2738.702104</v>
      </c>
      <c r="P6" s="62">
        <f t="shared" si="3"/>
        <v>1716.049536</v>
      </c>
    </row>
    <row r="7">
      <c r="C7" s="65" t="s">
        <v>44</v>
      </c>
      <c r="D7" s="66">
        <f>D8*Main!D6</f>
        <v>420000</v>
      </c>
      <c r="E7" s="22"/>
      <c r="M7" s="64">
        <v>5.0</v>
      </c>
      <c r="N7" s="62">
        <f t="shared" si="1"/>
        <v>4454.75164</v>
      </c>
      <c r="O7" s="63">
        <f t="shared" si="2"/>
        <v>2750.113362</v>
      </c>
      <c r="P7" s="62">
        <f t="shared" si="3"/>
        <v>1704.638278</v>
      </c>
    </row>
    <row r="8">
      <c r="B8" s="67"/>
      <c r="C8" s="68" t="s">
        <v>45</v>
      </c>
      <c r="D8" s="69">
        <v>0.35</v>
      </c>
      <c r="E8" s="3"/>
      <c r="M8" s="64">
        <v>6.0</v>
      </c>
      <c r="N8" s="62">
        <f t="shared" si="1"/>
        <v>4454.75164</v>
      </c>
      <c r="O8" s="63">
        <f t="shared" si="2"/>
        <v>2761.572168</v>
      </c>
      <c r="P8" s="62">
        <f t="shared" si="3"/>
        <v>1693.179472</v>
      </c>
    </row>
    <row r="9">
      <c r="C9" s="70" t="s">
        <v>46</v>
      </c>
      <c r="D9" s="71">
        <v>10.0</v>
      </c>
      <c r="E9" s="3"/>
      <c r="M9" s="61">
        <v>7.0</v>
      </c>
      <c r="N9" s="62">
        <f t="shared" si="1"/>
        <v>4454.75164</v>
      </c>
      <c r="O9" s="63">
        <f t="shared" si="2"/>
        <v>2773.078719</v>
      </c>
      <c r="P9" s="62">
        <f t="shared" si="3"/>
        <v>1681.672921</v>
      </c>
    </row>
    <row r="10">
      <c r="C10" s="70" t="s">
        <v>47</v>
      </c>
      <c r="D10" s="72">
        <v>0.05</v>
      </c>
      <c r="E10" s="3"/>
      <c r="M10" s="64">
        <v>8.0</v>
      </c>
      <c r="N10" s="62">
        <f t="shared" si="1"/>
        <v>4454.75164</v>
      </c>
      <c r="O10" s="63">
        <f t="shared" si="2"/>
        <v>2784.633213</v>
      </c>
      <c r="P10" s="62">
        <f t="shared" si="3"/>
        <v>1670.118427</v>
      </c>
    </row>
    <row r="11">
      <c r="C11" s="73" t="s">
        <v>40</v>
      </c>
      <c r="D11" s="74">
        <f>(D7*D10)/12</f>
        <v>1750</v>
      </c>
      <c r="E11" s="19"/>
      <c r="M11" s="64">
        <v>9.0</v>
      </c>
      <c r="N11" s="62">
        <f t="shared" si="1"/>
        <v>4454.75164</v>
      </c>
      <c r="O11" s="63">
        <f t="shared" si="2"/>
        <v>2796.235852</v>
      </c>
      <c r="P11" s="62">
        <f t="shared" si="3"/>
        <v>1658.515788</v>
      </c>
    </row>
    <row r="12">
      <c r="M12" s="61">
        <v>10.0</v>
      </c>
      <c r="N12" s="62">
        <f t="shared" si="1"/>
        <v>4454.75164</v>
      </c>
      <c r="O12" s="63">
        <f t="shared" si="2"/>
        <v>2807.886835</v>
      </c>
      <c r="P12" s="62">
        <f t="shared" si="3"/>
        <v>1646.864805</v>
      </c>
    </row>
    <row r="13">
      <c r="M13" s="64">
        <v>11.0</v>
      </c>
      <c r="N13" s="62">
        <f t="shared" si="1"/>
        <v>4454.75164</v>
      </c>
      <c r="O13" s="63">
        <f t="shared" si="2"/>
        <v>2819.586363</v>
      </c>
      <c r="P13" s="62">
        <f t="shared" si="3"/>
        <v>1635.165277</v>
      </c>
    </row>
    <row r="14">
      <c r="C14" s="7" t="s">
        <v>48</v>
      </c>
      <c r="M14" s="64">
        <v>12.0</v>
      </c>
      <c r="N14" s="62">
        <f t="shared" si="1"/>
        <v>4454.75164</v>
      </c>
      <c r="O14" s="63">
        <f t="shared" si="2"/>
        <v>2831.33464</v>
      </c>
      <c r="P14" s="62">
        <f t="shared" si="3"/>
        <v>1623.417</v>
      </c>
    </row>
    <row r="15">
      <c r="C15" s="75" t="s">
        <v>49</v>
      </c>
      <c r="D15" s="76">
        <v>500.0</v>
      </c>
      <c r="E15" s="77">
        <f t="shared" ref="E15:E16" si="4">D15</f>
        <v>500</v>
      </c>
      <c r="M15" s="61">
        <v>13.0</v>
      </c>
      <c r="N15" s="62">
        <f t="shared" si="1"/>
        <v>4454.75164</v>
      </c>
      <c r="O15" s="63">
        <f t="shared" si="2"/>
        <v>2843.131867</v>
      </c>
      <c r="P15" s="62">
        <f t="shared" si="3"/>
        <v>1611.619773</v>
      </c>
    </row>
    <row r="16">
      <c r="C16" s="78" t="s">
        <v>50</v>
      </c>
      <c r="D16" s="79">
        <v>600.0</v>
      </c>
      <c r="E16" s="80">
        <f t="shared" si="4"/>
        <v>600</v>
      </c>
      <c r="M16" s="64">
        <v>14.0</v>
      </c>
      <c r="N16" s="62">
        <f t="shared" si="1"/>
        <v>4454.75164</v>
      </c>
      <c r="O16" s="63">
        <f t="shared" si="2"/>
        <v>2854.97825</v>
      </c>
      <c r="P16" s="62">
        <f t="shared" si="3"/>
        <v>1599.77339</v>
      </c>
    </row>
    <row r="17">
      <c r="C17" s="78" t="s">
        <v>51</v>
      </c>
      <c r="D17" s="81">
        <v>0.02</v>
      </c>
      <c r="E17" s="82">
        <f>D17*D7</f>
        <v>8400</v>
      </c>
      <c r="M17" s="61">
        <v>15.0</v>
      </c>
      <c r="N17" s="62">
        <f t="shared" si="1"/>
        <v>4454.75164</v>
      </c>
      <c r="O17" s="63">
        <f t="shared" si="2"/>
        <v>2866.873993</v>
      </c>
      <c r="P17" s="62">
        <f t="shared" si="3"/>
        <v>1587.877647</v>
      </c>
    </row>
    <row r="18">
      <c r="C18" s="78" t="s">
        <v>52</v>
      </c>
      <c r="D18" s="79">
        <v>1610.0</v>
      </c>
      <c r="E18" s="80">
        <f>D18</f>
        <v>1610</v>
      </c>
      <c r="M18" s="64">
        <v>16.0</v>
      </c>
      <c r="N18" s="62">
        <f t="shared" si="1"/>
        <v>4454.75164</v>
      </c>
      <c r="O18" s="63">
        <f t="shared" si="2"/>
        <v>2878.819301</v>
      </c>
      <c r="P18" s="62">
        <f t="shared" si="3"/>
        <v>1575.932339</v>
      </c>
    </row>
    <row r="19">
      <c r="C19" s="78" t="s">
        <v>53</v>
      </c>
      <c r="D19" s="81">
        <v>0.01</v>
      </c>
      <c r="E19" s="82">
        <f>D19*Main!D6</f>
        <v>12000</v>
      </c>
      <c r="M19" s="64">
        <v>17.0</v>
      </c>
      <c r="N19" s="62">
        <f t="shared" si="1"/>
        <v>4454.75164</v>
      </c>
      <c r="O19" s="63">
        <f t="shared" si="2"/>
        <v>2890.814381</v>
      </c>
      <c r="P19" s="62">
        <f t="shared" si="3"/>
        <v>1563.937259</v>
      </c>
    </row>
    <row r="20">
      <c r="C20" s="78" t="s">
        <v>54</v>
      </c>
      <c r="D20" s="79">
        <v>250.0</v>
      </c>
      <c r="E20" s="80">
        <f>D20</f>
        <v>250</v>
      </c>
      <c r="M20" s="61">
        <v>18.0</v>
      </c>
      <c r="N20" s="62">
        <f t="shared" si="1"/>
        <v>4454.75164</v>
      </c>
      <c r="O20" s="63">
        <f t="shared" si="2"/>
        <v>2902.859441</v>
      </c>
      <c r="P20" s="62">
        <f t="shared" si="3"/>
        <v>1551.892199</v>
      </c>
    </row>
    <row r="21">
      <c r="C21" s="83"/>
      <c r="E21" s="84"/>
    </row>
    <row r="22">
      <c r="C22" s="85" t="s">
        <v>55</v>
      </c>
      <c r="D22" s="86">
        <f>SUM(E15:E20)</f>
        <v>23360</v>
      </c>
      <c r="E22" s="19"/>
    </row>
    <row r="23">
      <c r="J23" s="87">
        <v>4500.0</v>
      </c>
      <c r="K23" s="87">
        <v>2250.0</v>
      </c>
    </row>
    <row r="24">
      <c r="K24" s="88">
        <f>J23-K23</f>
        <v>2250</v>
      </c>
    </row>
  </sheetData>
  <mergeCells count="10">
    <mergeCell ref="D11:E11"/>
    <mergeCell ref="C14:E14"/>
    <mergeCell ref="D22:E22"/>
    <mergeCell ref="A1:R1"/>
    <mergeCell ref="C2:E4"/>
    <mergeCell ref="C6:E6"/>
    <mergeCell ref="D7:E7"/>
    <mergeCell ref="D8:E8"/>
    <mergeCell ref="D9:E9"/>
    <mergeCell ref="D10:E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sheetData>
    <row r="2">
      <c r="C2" s="59" t="s">
        <v>56</v>
      </c>
    </row>
    <row r="5">
      <c r="E5" s="56"/>
      <c r="F5" s="56"/>
    </row>
    <row r="6">
      <c r="C6" s="7" t="s">
        <v>57</v>
      </c>
      <c r="F6" s="56"/>
    </row>
    <row r="7">
      <c r="C7" s="89"/>
      <c r="D7" s="90" t="s">
        <v>58</v>
      </c>
      <c r="E7" s="91" t="s">
        <v>59</v>
      </c>
    </row>
    <row r="8">
      <c r="C8" s="78" t="s">
        <v>60</v>
      </c>
      <c r="D8" s="92">
        <v>1700.0</v>
      </c>
      <c r="E8" s="82">
        <f t="shared" ref="E8:E9" si="1">D8*12</f>
        <v>20400</v>
      </c>
    </row>
    <row r="9">
      <c r="C9" s="78" t="s">
        <v>61</v>
      </c>
      <c r="D9" s="93">
        <f>0.1*D8</f>
        <v>170</v>
      </c>
      <c r="E9" s="82">
        <f t="shared" si="1"/>
        <v>2040</v>
      </c>
    </row>
    <row r="10">
      <c r="C10" s="78" t="s">
        <v>62</v>
      </c>
      <c r="D10" s="94">
        <f t="shared" ref="D10:D11" si="2">E10/12</f>
        <v>250</v>
      </c>
      <c r="E10" s="95">
        <v>3000.0</v>
      </c>
    </row>
    <row r="11">
      <c r="C11" s="78" t="s">
        <v>63</v>
      </c>
      <c r="D11" s="94">
        <f t="shared" si="2"/>
        <v>112.5</v>
      </c>
      <c r="E11" s="95">
        <v>1350.0</v>
      </c>
    </row>
    <row r="12">
      <c r="C12" s="96"/>
      <c r="D12" s="97"/>
      <c r="E12" s="98"/>
    </row>
    <row r="13">
      <c r="C13" s="78" t="s">
        <v>64</v>
      </c>
      <c r="D13" s="93">
        <f t="shared" ref="D13:E13" si="3">SUM(D9:D11)</f>
        <v>532.5</v>
      </c>
      <c r="E13" s="82">
        <f t="shared" si="3"/>
        <v>6390</v>
      </c>
    </row>
    <row r="14">
      <c r="C14" s="99" t="s">
        <v>65</v>
      </c>
      <c r="D14" s="100">
        <f t="shared" ref="D14:E14" si="4">D8-D13</f>
        <v>1167.5</v>
      </c>
      <c r="E14" s="101">
        <f t="shared" si="4"/>
        <v>14010</v>
      </c>
    </row>
  </sheetData>
  <mergeCells count="3">
    <mergeCell ref="A1:O1"/>
    <mergeCell ref="C2:E4"/>
    <mergeCell ref="C6:E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3" max="3" width="13.63"/>
  </cols>
  <sheetData>
    <row r="2">
      <c r="C2" s="59" t="s">
        <v>66</v>
      </c>
    </row>
    <row r="6">
      <c r="C6" s="21" t="s">
        <v>67</v>
      </c>
      <c r="D6" s="102"/>
      <c r="E6" s="22"/>
    </row>
    <row r="7">
      <c r="C7" s="10" t="s">
        <v>68</v>
      </c>
      <c r="D7" s="103">
        <v>750.0</v>
      </c>
      <c r="E7" s="91"/>
    </row>
    <row r="8">
      <c r="C8" s="13" t="s">
        <v>69</v>
      </c>
      <c r="D8" s="104">
        <v>0.0</v>
      </c>
      <c r="E8" s="105"/>
    </row>
    <row r="9">
      <c r="C9" s="13" t="s">
        <v>70</v>
      </c>
      <c r="D9" s="106">
        <v>0.01</v>
      </c>
      <c r="E9" s="107">
        <f>D9*(Main!D11+Main!D17)</f>
        <v>8147.725</v>
      </c>
    </row>
    <row r="10">
      <c r="C10" s="13" t="s">
        <v>71</v>
      </c>
      <c r="D10" s="104">
        <v>30.0</v>
      </c>
      <c r="E10" s="105"/>
    </row>
    <row r="11">
      <c r="C11" s="13" t="s">
        <v>72</v>
      </c>
      <c r="D11" s="104">
        <v>0.0</v>
      </c>
      <c r="E11" s="105"/>
    </row>
    <row r="12">
      <c r="C12" s="13"/>
      <c r="D12" s="43"/>
      <c r="E12" s="105"/>
    </row>
    <row r="13">
      <c r="C13" s="13"/>
      <c r="D13" s="43"/>
      <c r="E13" s="105"/>
    </row>
    <row r="14">
      <c r="C14" s="13"/>
      <c r="D14" s="43"/>
      <c r="E14" s="105"/>
    </row>
    <row r="15">
      <c r="C15" s="13"/>
      <c r="D15" s="43"/>
      <c r="E15" s="105"/>
    </row>
    <row r="16">
      <c r="C16" s="13" t="s">
        <v>64</v>
      </c>
      <c r="D16" s="108">
        <f>D11+D10+E9+D8+D7</f>
        <v>8927.725</v>
      </c>
      <c r="E16" s="105"/>
    </row>
    <row r="17">
      <c r="C17" s="13"/>
      <c r="D17" s="43"/>
      <c r="E17" s="105"/>
    </row>
    <row r="18">
      <c r="C18" s="13" t="s">
        <v>73</v>
      </c>
      <c r="D18" s="43"/>
      <c r="E18" s="107">
        <f>D16+Main!D11+Main!D17</f>
        <v>823700.225</v>
      </c>
    </row>
    <row r="19">
      <c r="C19" s="15" t="s">
        <v>74</v>
      </c>
      <c r="D19" s="109"/>
      <c r="E19" s="110">
        <f>E18*3.75</f>
        <v>3088875.844</v>
      </c>
    </row>
  </sheetData>
  <mergeCells count="2">
    <mergeCell ref="C2:E4"/>
    <mergeCell ref="C6:E6"/>
  </mergeCells>
  <drawing r:id="rId1"/>
</worksheet>
</file>